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rightsdowson-my.sharepoint.com/personal/n_wright_dowsongroup_com/Documents/Documents/"/>
    </mc:Choice>
  </mc:AlternateContent>
  <xr:revisionPtr revIDLastSave="0" documentId="8_{ED460B98-9B8E-4998-BD1E-E018C70A17E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6 year rotation" sheetId="6" r:id="rId1"/>
    <sheet name="8 year rotation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8" l="1"/>
  <c r="D2" i="8" l="1"/>
  <c r="B13" i="8"/>
  <c r="D13" i="8" s="1"/>
  <c r="B11" i="8"/>
  <c r="H11" i="8" s="1"/>
  <c r="B7" i="8"/>
  <c r="D7" i="8" s="1"/>
  <c r="G10" i="8"/>
  <c r="B12" i="8"/>
  <c r="K21" i="6"/>
  <c r="C9" i="8"/>
  <c r="C9" i="6"/>
  <c r="C11" i="8"/>
  <c r="B10" i="8"/>
  <c r="D10" i="8" s="1"/>
  <c r="B9" i="8"/>
  <c r="B8" i="8"/>
  <c r="B6" i="8"/>
  <c r="C22" i="8"/>
  <c r="B22" i="8"/>
  <c r="C12" i="8"/>
  <c r="C8" i="8"/>
  <c r="H21" i="6"/>
  <c r="C10" i="6"/>
  <c r="C8" i="6"/>
  <c r="M8" i="6"/>
  <c r="M7" i="6"/>
  <c r="M13" i="6"/>
  <c r="D18" i="8" l="1"/>
  <c r="D20" i="8"/>
  <c r="D17" i="8"/>
  <c r="D19" i="8"/>
  <c r="H10" i="8"/>
  <c r="D21" i="8"/>
  <c r="D11" i="8"/>
  <c r="K6" i="8"/>
  <c r="K12" i="8"/>
  <c r="H12" i="8"/>
  <c r="D12" i="8"/>
  <c r="D6" i="8"/>
  <c r="D26" i="8"/>
  <c r="E26" i="8" s="1"/>
  <c r="C20" i="6"/>
  <c r="B20" i="6"/>
  <c r="H6" i="8" l="1"/>
  <c r="K7" i="8"/>
  <c r="H7" i="8"/>
  <c r="H8" i="8"/>
  <c r="D8" i="8"/>
  <c r="K8" i="8"/>
  <c r="K9" i="8"/>
  <c r="H9" i="8"/>
  <c r="D9" i="8"/>
  <c r="B10" i="6"/>
  <c r="H10" i="6" s="1"/>
  <c r="B7" i="6"/>
  <c r="B11" i="6" s="1"/>
  <c r="B8" i="6"/>
  <c r="B9" i="6"/>
  <c r="D24" i="6"/>
  <c r="E24" i="6" s="1"/>
  <c r="B6" i="6"/>
  <c r="K10" i="6" l="1"/>
  <c r="D10" i="6"/>
  <c r="K13" i="8"/>
  <c r="K14" i="8" s="1"/>
  <c r="H13" i="8"/>
  <c r="H14" i="8" s="1"/>
  <c r="D14" i="8"/>
  <c r="D16" i="6"/>
  <c r="D17" i="6"/>
  <c r="D18" i="6"/>
  <c r="D19" i="6"/>
  <c r="D15" i="6"/>
  <c r="H6" i="6"/>
  <c r="K6" i="6"/>
  <c r="D11" i="6"/>
  <c r="K11" i="6"/>
  <c r="H11" i="6"/>
  <c r="D9" i="6"/>
  <c r="H9" i="6"/>
  <c r="K9" i="6"/>
  <c r="D8" i="6"/>
  <c r="H8" i="6"/>
  <c r="K8" i="6"/>
  <c r="K7" i="6"/>
  <c r="H7" i="6"/>
  <c r="D7" i="6"/>
  <c r="D6" i="6"/>
  <c r="D22" i="8" l="1"/>
  <c r="E22" i="8" s="1"/>
  <c r="E14" i="8"/>
  <c r="K15" i="8"/>
  <c r="K12" i="6"/>
  <c r="H12" i="6"/>
  <c r="D12" i="6"/>
  <c r="E12" i="6" s="1"/>
  <c r="D20" i="6"/>
  <c r="E20" i="6" s="1"/>
  <c r="E24" i="8" l="1"/>
  <c r="E28" i="8" s="1"/>
  <c r="E30" i="8" s="1"/>
  <c r="D24" i="8"/>
  <c r="D28" i="8" s="1"/>
  <c r="D30" i="8" s="1"/>
  <c r="E22" i="6"/>
  <c r="E26" i="6" s="1"/>
  <c r="E28" i="6" s="1"/>
  <c r="E29" i="6" s="1"/>
  <c r="E30" i="6" s="1"/>
  <c r="H13" i="6"/>
  <c r="K13" i="6"/>
  <c r="K14" i="6"/>
  <c r="D22" i="6"/>
  <c r="D26" i="6" s="1"/>
  <c r="D28" i="6" s="1"/>
  <c r="D31" i="8" l="1"/>
  <c r="D32" i="8" s="1"/>
  <c r="D34" i="8"/>
  <c r="D35" i="8" s="1"/>
  <c r="D36" i="8" s="1"/>
  <c r="E31" i="8"/>
  <c r="E32" i="8" s="1"/>
  <c r="E34" i="8"/>
  <c r="E35" i="8" s="1"/>
  <c r="E36" i="8" s="1"/>
  <c r="C28" i="8"/>
  <c r="C26" i="6"/>
  <c r="D29" i="6"/>
  <c r="D30" i="6" s="1"/>
</calcChain>
</file>

<file path=xl/sharedStrings.xml><?xml version="1.0" encoding="utf-8"?>
<sst xmlns="http://schemas.openxmlformats.org/spreadsheetml/2006/main" count="122" uniqueCount="62">
  <si>
    <t>Total Farm Area</t>
  </si>
  <si>
    <t>Acres</t>
  </si>
  <si>
    <t>Hectares</t>
  </si>
  <si>
    <t>Basic Rotation</t>
  </si>
  <si>
    <t>Wheat Winter</t>
  </si>
  <si>
    <t>Potatoes Maincrop</t>
  </si>
  <si>
    <t>Onions</t>
  </si>
  <si>
    <t>Area</t>
  </si>
  <si>
    <t>GM</t>
  </si>
  <si>
    <t>Total</t>
  </si>
  <si>
    <t>Labour</t>
  </si>
  <si>
    <t>Cereals</t>
  </si>
  <si>
    <t>Administration</t>
  </si>
  <si>
    <t>Property</t>
  </si>
  <si>
    <t>Finance</t>
  </si>
  <si>
    <t>Net Margin (Pre BPS)</t>
  </si>
  <si>
    <t>Net Margin Incl BPS</t>
  </si>
  <si>
    <t>Per Ha</t>
  </si>
  <si>
    <t>Per Acre</t>
  </si>
  <si>
    <t>Fixed Costs £/ha (Best in Show)</t>
  </si>
  <si>
    <t>Power &amp; Machinery (incl Dep)</t>
  </si>
  <si>
    <t>Pots/Onions</t>
  </si>
  <si>
    <t>T/ha</t>
  </si>
  <si>
    <t>Total Tons</t>
  </si>
  <si>
    <t>Acre "</t>
  </si>
  <si>
    <t>m3</t>
  </si>
  <si>
    <t>Gallons</t>
  </si>
  <si>
    <t>Badlingham</t>
  </si>
  <si>
    <t>Total Production</t>
  </si>
  <si>
    <t>Water required</t>
  </si>
  <si>
    <t>Ha</t>
  </si>
  <si>
    <t>M3/ha</t>
  </si>
  <si>
    <t>m3/ha</t>
  </si>
  <si>
    <t>m3/t</t>
  </si>
  <si>
    <t>Tons</t>
  </si>
  <si>
    <t>Sugar Beet</t>
  </si>
  <si>
    <t>Net Profit</t>
  </si>
  <si>
    <t>Assumptions</t>
  </si>
  <si>
    <t>All land owned with no borrowings</t>
  </si>
  <si>
    <t>No borrowings for infrastructure</t>
  </si>
  <si>
    <t>10% reduction</t>
  </si>
  <si>
    <t>10% increase</t>
  </si>
  <si>
    <t>BPS (2023)</t>
  </si>
  <si>
    <t>Notes</t>
  </si>
  <si>
    <t>Sunnica Farms Budget - Cropping Year 2023</t>
  </si>
  <si>
    <t>£280/t (£250+£30/t) Milling wheat, £8.3t/ha, Renting storage @ £15/t</t>
  </si>
  <si>
    <t>92% of field area planted, GM includes storage cost, 62t/ha field yield</t>
  </si>
  <si>
    <t>£40/t, need to confirm inputs figure with Rob Jack</t>
  </si>
  <si>
    <t>52t/ha green yield (Longs Badlingham average), £130/t green price (Rix 2021 green price), A&amp;B 2021 Variable costs, no storage</t>
  </si>
  <si>
    <t>Jamie Gwatkin Benchmark costs</t>
  </si>
  <si>
    <t>DEFRA BPS reduction calculator</t>
  </si>
  <si>
    <t>Excluding rent</t>
  </si>
  <si>
    <t>Water</t>
  </si>
  <si>
    <t>MMF</t>
  </si>
  <si>
    <t>Waters</t>
  </si>
  <si>
    <t>CP</t>
  </si>
  <si>
    <t>Maize</t>
  </si>
  <si>
    <t>90% of field area planted, GM includes storage cost, 62t/ha field yield</t>
  </si>
  <si>
    <t xml:space="preserve">Renting out the land only </t>
  </si>
  <si>
    <t>90% field area52t/ha green yield (Longs Badlingham average), £130/t green price (Rix 2021 green price), A&amp;B 2021 Variable costs, no storage</t>
  </si>
  <si>
    <t>Including a £200/acre rent</t>
  </si>
  <si>
    <t>Depreciation as 33% of the P&amp;M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</si>
</sst>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1" fontId="0" fillId="0" borderId="0" xfId="0" applyNumberForma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164" fontId="2" fillId="0" borderId="3" xfId="1" applyNumberFormat="1" applyFont="1" applyBorder="1"/>
    <xf numFmtId="164" fontId="2" fillId="0" borderId="1" xfId="1" applyNumberFormat="1" applyFont="1" applyBorder="1"/>
    <xf numFmtId="164" fontId="0" fillId="0" borderId="0" xfId="1" applyNumberFormat="1" applyFont="1"/>
    <xf numFmtId="164" fontId="2" fillId="0" borderId="1" xfId="0" applyNumberFormat="1" applyFont="1" applyBorder="1"/>
    <xf numFmtId="164" fontId="2" fillId="0" borderId="0" xfId="1" applyNumberFormat="1" applyFont="1" applyBorder="1"/>
    <xf numFmtId="44" fontId="2" fillId="0" borderId="0" xfId="1" applyFont="1" applyBorder="1"/>
    <xf numFmtId="164" fontId="2" fillId="0" borderId="2" xfId="0" applyNumberFormat="1" applyFont="1" applyBorder="1"/>
    <xf numFmtId="44" fontId="0" fillId="0" borderId="0" xfId="1" applyFont="1"/>
    <xf numFmtId="0" fontId="4" fillId="0" borderId="0" xfId="0" applyFont="1"/>
    <xf numFmtId="164" fontId="5" fillId="0" borderId="1" xfId="1" applyNumberFormat="1" applyFont="1" applyBorder="1"/>
    <xf numFmtId="164" fontId="5" fillId="0" borderId="2" xfId="0" applyNumberFormat="1" applyFont="1" applyBorder="1"/>
    <xf numFmtId="44" fontId="5" fillId="0" borderId="0" xfId="1" applyFont="1" applyBorder="1"/>
    <xf numFmtId="164" fontId="5" fillId="0" borderId="3" xfId="1" applyNumberFormat="1" applyFont="1" applyBorder="1"/>
    <xf numFmtId="164" fontId="0" fillId="0" borderId="0" xfId="1" applyNumberFormat="1" applyFont="1" applyFill="1"/>
    <xf numFmtId="164" fontId="0" fillId="0" borderId="0" xfId="0" applyNumberFormat="1"/>
    <xf numFmtId="164" fontId="2" fillId="0" borderId="0" xfId="0" applyNumberFormat="1" applyFont="1"/>
    <xf numFmtId="0" fontId="0" fillId="2" borderId="0" xfId="0" applyFill="1"/>
    <xf numFmtId="1" fontId="0" fillId="2" borderId="0" xfId="0" applyNumberFormat="1" applyFill="1"/>
    <xf numFmtId="164" fontId="0" fillId="2" borderId="0" xfId="1" applyNumberFormat="1" applyFont="1" applyFill="1"/>
    <xf numFmtId="0" fontId="0" fillId="0" borderId="4" xfId="0" applyBorder="1"/>
    <xf numFmtId="0" fontId="2" fillId="0" borderId="4" xfId="0" applyFont="1" applyBorder="1"/>
    <xf numFmtId="1" fontId="0" fillId="0" borderId="4" xfId="0" applyNumberFormat="1" applyBorder="1"/>
    <xf numFmtId="3" fontId="0" fillId="0" borderId="4" xfId="0" applyNumberFormat="1" applyBorder="1"/>
    <xf numFmtId="9" fontId="0" fillId="0" borderId="4" xfId="2" applyFont="1" applyBorder="1"/>
    <xf numFmtId="0" fontId="5" fillId="0" borderId="0" xfId="0" applyFont="1"/>
    <xf numFmtId="164" fontId="5" fillId="0" borderId="1" xfId="0" applyNumberFormat="1" applyFont="1" applyBorder="1"/>
    <xf numFmtId="164" fontId="5" fillId="0" borderId="0" xfId="0" applyNumberFormat="1" applyFont="1"/>
    <xf numFmtId="164" fontId="5" fillId="0" borderId="4" xfId="0" applyNumberFormat="1" applyFont="1" applyBorder="1"/>
    <xf numFmtId="0" fontId="0" fillId="2" borderId="4" xfId="0" applyFill="1" applyBorder="1"/>
    <xf numFmtId="1" fontId="0" fillId="2" borderId="4" xfId="0" applyNumberFormat="1" applyFill="1" applyBorder="1"/>
    <xf numFmtId="3" fontId="0" fillId="2" borderId="4" xfId="0" applyNumberFormat="1" applyFill="1" applyBorder="1"/>
    <xf numFmtId="0" fontId="5" fillId="2" borderId="0" xfId="0" applyFont="1" applyFill="1"/>
    <xf numFmtId="0" fontId="0" fillId="0" borderId="2" xfId="0" applyBorder="1"/>
    <xf numFmtId="44" fontId="2" fillId="0" borderId="2" xfId="0" applyNumberFormat="1" applyFont="1" applyBorder="1"/>
    <xf numFmtId="44" fontId="5" fillId="0" borderId="2" xfId="0" applyNumberFormat="1" applyFont="1" applyBorder="1"/>
    <xf numFmtId="0" fontId="0" fillId="0" borderId="3" xfId="0" applyBorder="1"/>
    <xf numFmtId="44" fontId="2" fillId="0" borderId="3" xfId="0" applyNumberFormat="1" applyFont="1" applyBorder="1"/>
    <xf numFmtId="44" fontId="5" fillId="0" borderId="3" xfId="0" applyNumberFormat="1" applyFont="1" applyBorder="1"/>
    <xf numFmtId="164" fontId="5" fillId="0" borderId="0" xfId="1" applyNumberFormat="1" applyFont="1" applyBorder="1"/>
    <xf numFmtId="44" fontId="5" fillId="0" borderId="0" xfId="0" applyNumberFormat="1" applyFont="1"/>
    <xf numFmtId="164" fontId="0" fillId="0" borderId="0" xfId="1" applyNumberFormat="1" applyFont="1" applyBorder="1"/>
    <xf numFmtId="3" fontId="0" fillId="0" borderId="0" xfId="0" applyNumberFormat="1"/>
    <xf numFmtId="164" fontId="0" fillId="0" borderId="0" xfId="1" applyNumberFormat="1" applyFont="1" applyFill="1" applyBorder="1"/>
    <xf numFmtId="44" fontId="0" fillId="0" borderId="0" xfId="1" applyFont="1" applyBorder="1"/>
    <xf numFmtId="9" fontId="0" fillId="0" borderId="0" xfId="2" applyFont="1" applyBorder="1"/>
    <xf numFmtId="44" fontId="2" fillId="0" borderId="0" xfId="0" applyNumberFormat="1" applyFont="1"/>
    <xf numFmtId="1" fontId="0" fillId="0" borderId="1" xfId="0" applyNumberFormat="1" applyBorder="1"/>
    <xf numFmtId="3" fontId="0" fillId="0" borderId="1" xfId="0" applyNumberFormat="1" applyBorder="1"/>
    <xf numFmtId="44" fontId="0" fillId="0" borderId="0" xfId="0" applyNumberFormat="1"/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zoomScale="80" zoomScaleNormal="80" workbookViewId="0">
      <selection activeCell="K26" sqref="K26"/>
    </sheetView>
  </sheetViews>
  <sheetFormatPr defaultRowHeight="14.4" x14ac:dyDescent="0.3"/>
  <cols>
    <col min="1" max="1" width="29.109375" bestFit="1" customWidth="1"/>
    <col min="2" max="2" width="7.5546875" bestFit="1" customWidth="1"/>
    <col min="3" max="3" width="12" bestFit="1" customWidth="1"/>
    <col min="4" max="4" width="13.33203125" bestFit="1" customWidth="1"/>
    <col min="5" max="5" width="13.88671875" style="2" bestFit="1" customWidth="1"/>
    <col min="6" max="6" width="106.6640625" bestFit="1" customWidth="1"/>
    <col min="8" max="8" width="10" bestFit="1" customWidth="1"/>
    <col min="11" max="11" width="12.5546875" bestFit="1" customWidth="1"/>
    <col min="13" max="13" width="20.5546875" bestFit="1" customWidth="1"/>
  </cols>
  <sheetData>
    <row r="1" spans="1:14" ht="21" x14ac:dyDescent="0.4">
      <c r="A1" s="56" t="s">
        <v>44</v>
      </c>
      <c r="B1" s="56"/>
      <c r="C1" s="56"/>
      <c r="D1" s="56"/>
    </row>
    <row r="2" spans="1:14" x14ac:dyDescent="0.3">
      <c r="A2" s="2" t="s">
        <v>0</v>
      </c>
      <c r="C2" s="2" t="s">
        <v>1</v>
      </c>
      <c r="D2">
        <v>2500</v>
      </c>
    </row>
    <row r="3" spans="1:14" x14ac:dyDescent="0.3">
      <c r="C3" s="2" t="s">
        <v>2</v>
      </c>
      <c r="D3" s="1">
        <v>981</v>
      </c>
    </row>
    <row r="4" spans="1:14" x14ac:dyDescent="0.3">
      <c r="G4" s="57" t="s">
        <v>28</v>
      </c>
      <c r="H4" s="57"/>
      <c r="I4" s="26"/>
      <c r="J4" s="57" t="s">
        <v>29</v>
      </c>
      <c r="K4" s="57"/>
      <c r="L4" s="26"/>
      <c r="M4" s="26"/>
      <c r="N4" s="26"/>
    </row>
    <row r="5" spans="1:14" x14ac:dyDescent="0.3">
      <c r="A5" s="4" t="s">
        <v>3</v>
      </c>
      <c r="B5" s="4" t="s">
        <v>7</v>
      </c>
      <c r="C5" s="4" t="s">
        <v>8</v>
      </c>
      <c r="D5" s="4"/>
      <c r="F5" s="2" t="s">
        <v>43</v>
      </c>
      <c r="G5" s="27" t="s">
        <v>22</v>
      </c>
      <c r="H5" s="27" t="s">
        <v>23</v>
      </c>
      <c r="I5" s="26"/>
      <c r="J5" s="27" t="s">
        <v>24</v>
      </c>
      <c r="K5" s="27" t="s">
        <v>25</v>
      </c>
      <c r="L5" s="26"/>
      <c r="M5" s="27" t="s">
        <v>27</v>
      </c>
      <c r="N5" s="26"/>
    </row>
    <row r="6" spans="1:14" x14ac:dyDescent="0.3">
      <c r="A6" t="s">
        <v>4</v>
      </c>
      <c r="B6" s="1">
        <f>$D$3/6</f>
        <v>163.5</v>
      </c>
      <c r="C6" s="9">
        <v>1477</v>
      </c>
      <c r="D6" s="9">
        <f>B6*C6</f>
        <v>241489.5</v>
      </c>
      <c r="F6" t="s">
        <v>45</v>
      </c>
      <c r="G6" s="26">
        <v>8.25</v>
      </c>
      <c r="H6" s="28">
        <f t="shared" ref="H6:H11" si="0">B6*G6</f>
        <v>1348.875</v>
      </c>
      <c r="I6" s="26"/>
      <c r="J6" s="26"/>
      <c r="K6" s="29">
        <f t="shared" ref="K6:K11" si="1">B6*J6*250</f>
        <v>0</v>
      </c>
      <c r="L6" s="26"/>
      <c r="M6" s="26">
        <v>153</v>
      </c>
      <c r="N6" s="26" t="s">
        <v>30</v>
      </c>
    </row>
    <row r="7" spans="1:14" x14ac:dyDescent="0.3">
      <c r="A7" t="s">
        <v>5</v>
      </c>
      <c r="B7" s="1">
        <f>$D$3/6*0.92</f>
        <v>150.42000000000002</v>
      </c>
      <c r="C7" s="9">
        <v>8079</v>
      </c>
      <c r="D7" s="9">
        <f>B7*C7*0.92</f>
        <v>1118023.7256000002</v>
      </c>
      <c r="F7" t="s">
        <v>46</v>
      </c>
      <c r="G7" s="26">
        <v>65</v>
      </c>
      <c r="H7" s="28">
        <f t="shared" si="0"/>
        <v>9777.3000000000011</v>
      </c>
      <c r="I7" s="26"/>
      <c r="J7" s="26">
        <v>8</v>
      </c>
      <c r="K7" s="29">
        <f t="shared" si="1"/>
        <v>300840.00000000006</v>
      </c>
      <c r="L7" s="26"/>
      <c r="M7" s="28">
        <f>M6*2.471</f>
        <v>378.06299999999999</v>
      </c>
      <c r="N7" s="26"/>
    </row>
    <row r="8" spans="1:14" x14ac:dyDescent="0.3">
      <c r="A8" t="s">
        <v>4</v>
      </c>
      <c r="B8" s="1">
        <f t="shared" ref="B8:B10" si="2">$D$3/6</f>
        <v>163.5</v>
      </c>
      <c r="C8" s="9">
        <f>C6</f>
        <v>1477</v>
      </c>
      <c r="D8" s="9">
        <f t="shared" ref="D8:D10" si="3">B8*C8</f>
        <v>241489.5</v>
      </c>
      <c r="G8" s="26">
        <v>8.25</v>
      </c>
      <c r="H8" s="28">
        <f t="shared" si="0"/>
        <v>1348.875</v>
      </c>
      <c r="I8" s="26"/>
      <c r="J8" s="26"/>
      <c r="K8" s="29">
        <f t="shared" si="1"/>
        <v>0</v>
      </c>
      <c r="L8" s="26"/>
      <c r="M8" s="28">
        <f>M12/M6</f>
        <v>588.23529411764707</v>
      </c>
      <c r="N8" s="26" t="s">
        <v>31</v>
      </c>
    </row>
    <row r="9" spans="1:14" x14ac:dyDescent="0.3">
      <c r="A9" t="s">
        <v>35</v>
      </c>
      <c r="B9" s="1">
        <f t="shared" si="2"/>
        <v>163.5</v>
      </c>
      <c r="C9" s="20">
        <f>(80*40)-1228-108-462</f>
        <v>1402</v>
      </c>
      <c r="D9" s="20">
        <f t="shared" si="3"/>
        <v>229227</v>
      </c>
      <c r="F9" t="s">
        <v>47</v>
      </c>
      <c r="G9" s="26">
        <v>85</v>
      </c>
      <c r="H9" s="28">
        <f t="shared" si="0"/>
        <v>13897.5</v>
      </c>
      <c r="I9" s="26"/>
      <c r="J9" s="26"/>
      <c r="K9" s="29">
        <f t="shared" si="1"/>
        <v>0</v>
      </c>
      <c r="L9" s="26"/>
      <c r="M9" s="26"/>
      <c r="N9" s="26"/>
    </row>
    <row r="10" spans="1:14" x14ac:dyDescent="0.3">
      <c r="A10" t="s">
        <v>4</v>
      </c>
      <c r="B10" s="1">
        <f t="shared" si="2"/>
        <v>163.5</v>
      </c>
      <c r="C10" s="9">
        <f>C6</f>
        <v>1477</v>
      </c>
      <c r="D10" s="9">
        <f t="shared" si="3"/>
        <v>241489.5</v>
      </c>
      <c r="G10" s="26">
        <v>8.25</v>
      </c>
      <c r="H10" s="28">
        <f t="shared" si="0"/>
        <v>1348.875</v>
      </c>
      <c r="I10" s="26"/>
      <c r="J10" s="26"/>
      <c r="K10" s="29">
        <f t="shared" si="1"/>
        <v>0</v>
      </c>
      <c r="L10" s="26"/>
      <c r="M10" s="26"/>
      <c r="N10" s="26"/>
    </row>
    <row r="11" spans="1:14" s="23" customFormat="1" x14ac:dyDescent="0.3">
      <c r="A11" s="23" t="s">
        <v>6</v>
      </c>
      <c r="B11" s="24">
        <f>B7</f>
        <v>150.42000000000002</v>
      </c>
      <c r="C11" s="25">
        <v>4767</v>
      </c>
      <c r="D11" s="25">
        <f>B11*C11*0.92</f>
        <v>659687.96880000015</v>
      </c>
      <c r="E11" s="38" t="s">
        <v>40</v>
      </c>
      <c r="F11" s="23" t="s">
        <v>48</v>
      </c>
      <c r="G11" s="35">
        <v>60</v>
      </c>
      <c r="H11" s="36">
        <f t="shared" si="0"/>
        <v>9025.2000000000007</v>
      </c>
      <c r="I11" s="35"/>
      <c r="J11" s="35">
        <v>6</v>
      </c>
      <c r="K11" s="37">
        <f t="shared" si="1"/>
        <v>225630.00000000003</v>
      </c>
      <c r="L11" s="35"/>
      <c r="M11" s="35"/>
      <c r="N11" s="35"/>
    </row>
    <row r="12" spans="1:14" x14ac:dyDescent="0.3">
      <c r="A12" s="3"/>
      <c r="B12" s="3"/>
      <c r="C12" s="4" t="s">
        <v>9</v>
      </c>
      <c r="D12" s="8">
        <f>SUM(D6:D11)</f>
        <v>2731407.1944000004</v>
      </c>
      <c r="E12" s="32">
        <f>D12*0.9</f>
        <v>2458266.4749600003</v>
      </c>
      <c r="F12" s="21"/>
      <c r="G12" s="26"/>
      <c r="H12" s="28">
        <f>SUM(H6:H11)</f>
        <v>36746.625</v>
      </c>
      <c r="I12" s="26" t="s">
        <v>34</v>
      </c>
      <c r="J12" s="26"/>
      <c r="K12" s="29">
        <f>SUM(K6:K11)</f>
        <v>526470.00000000012</v>
      </c>
      <c r="L12" s="26" t="s">
        <v>25</v>
      </c>
      <c r="M12" s="29">
        <v>90000</v>
      </c>
      <c r="N12" s="26" t="s">
        <v>25</v>
      </c>
    </row>
    <row r="13" spans="1:14" x14ac:dyDescent="0.3">
      <c r="E13" s="22"/>
      <c r="F13" s="21"/>
      <c r="G13" s="26"/>
      <c r="H13" s="28">
        <f>K12/H12</f>
        <v>14.327030033370415</v>
      </c>
      <c r="I13" s="26" t="s">
        <v>33</v>
      </c>
      <c r="J13" s="26"/>
      <c r="K13" s="29">
        <f>K12*222</f>
        <v>116876340.00000003</v>
      </c>
      <c r="L13" s="26" t="s">
        <v>26</v>
      </c>
      <c r="M13" s="29">
        <f>M12*222</f>
        <v>19980000</v>
      </c>
      <c r="N13" s="26" t="s">
        <v>26</v>
      </c>
    </row>
    <row r="14" spans="1:14" x14ac:dyDescent="0.3">
      <c r="A14" s="4" t="s">
        <v>19</v>
      </c>
      <c r="B14" s="4" t="s">
        <v>11</v>
      </c>
      <c r="C14" s="4" t="s">
        <v>21</v>
      </c>
      <c r="D14" s="4"/>
      <c r="E14" s="22"/>
      <c r="F14" s="21"/>
      <c r="G14" s="26"/>
      <c r="H14" s="26"/>
      <c r="I14" s="26"/>
      <c r="J14" s="26"/>
      <c r="K14" s="28">
        <f>K12/D3</f>
        <v>536.66666666666674</v>
      </c>
      <c r="L14" s="26" t="s">
        <v>32</v>
      </c>
      <c r="M14" s="26"/>
      <c r="N14" s="26"/>
    </row>
    <row r="15" spans="1:14" x14ac:dyDescent="0.3">
      <c r="A15" t="s">
        <v>10</v>
      </c>
      <c r="B15" s="9">
        <v>105</v>
      </c>
      <c r="C15" s="9">
        <v>1250</v>
      </c>
      <c r="D15" s="14">
        <f>(B15*($B$6*3))+($B$7*C15)+($B$11*C15)+($B$9*B15)</f>
        <v>444720.00000000006</v>
      </c>
      <c r="E15" s="22"/>
      <c r="F15" s="21" t="s">
        <v>49</v>
      </c>
      <c r="K15" s="1"/>
    </row>
    <row r="16" spans="1:14" x14ac:dyDescent="0.3">
      <c r="A16" t="s">
        <v>20</v>
      </c>
      <c r="B16" s="9">
        <v>321</v>
      </c>
      <c r="C16" s="9">
        <v>1720</v>
      </c>
      <c r="D16" s="14">
        <f t="shared" ref="D16:D19" si="4">(B16*($B$6*3))+($B$7*C16)+($B$11*C16)+($B$9*B16)</f>
        <v>727378.8</v>
      </c>
      <c r="E16" s="22"/>
      <c r="F16" s="21"/>
    </row>
    <row r="17" spans="1:11" x14ac:dyDescent="0.3">
      <c r="A17" t="s">
        <v>12</v>
      </c>
      <c r="B17" s="9">
        <v>52</v>
      </c>
      <c r="C17" s="9">
        <v>188</v>
      </c>
      <c r="D17" s="14">
        <f t="shared" si="4"/>
        <v>90565.920000000013</v>
      </c>
      <c r="E17" s="22"/>
      <c r="F17" s="21"/>
      <c r="G17" s="27" t="s">
        <v>52</v>
      </c>
      <c r="H17" s="26"/>
      <c r="I17" s="26"/>
      <c r="J17" s="26"/>
      <c r="K17" s="26"/>
    </row>
    <row r="18" spans="1:11" x14ac:dyDescent="0.3">
      <c r="A18" t="s">
        <v>13</v>
      </c>
      <c r="B18" s="9">
        <v>36</v>
      </c>
      <c r="C18" s="9">
        <v>534</v>
      </c>
      <c r="D18" s="14">
        <f t="shared" si="4"/>
        <v>184192.56000000003</v>
      </c>
      <c r="E18" s="22"/>
      <c r="F18" s="21"/>
      <c r="G18" s="26" t="s">
        <v>55</v>
      </c>
      <c r="H18" s="26">
        <v>227272</v>
      </c>
      <c r="I18" s="26"/>
      <c r="J18" s="26"/>
      <c r="K18" s="26"/>
    </row>
    <row r="19" spans="1:11" x14ac:dyDescent="0.3">
      <c r="A19" t="s">
        <v>14</v>
      </c>
      <c r="B19" s="9">
        <v>20</v>
      </c>
      <c r="C19" s="9">
        <v>20</v>
      </c>
      <c r="D19" s="14">
        <f t="shared" si="4"/>
        <v>19096.800000000003</v>
      </c>
      <c r="E19" s="33" t="s">
        <v>41</v>
      </c>
      <c r="F19" s="21"/>
      <c r="G19" s="26" t="s">
        <v>53</v>
      </c>
      <c r="H19" s="26">
        <v>68000</v>
      </c>
      <c r="I19" s="26"/>
      <c r="J19" s="26"/>
      <c r="K19" s="26"/>
    </row>
    <row r="20" spans="1:11" x14ac:dyDescent="0.3">
      <c r="A20" s="4" t="s">
        <v>9</v>
      </c>
      <c r="B20" s="8">
        <f>SUM(B15:B19)</f>
        <v>534</v>
      </c>
      <c r="C20" s="8">
        <f t="shared" ref="C20:D20" si="5">SUM(C15:C19)</f>
        <v>3712</v>
      </c>
      <c r="D20" s="8">
        <f t="shared" si="5"/>
        <v>1465954.08</v>
      </c>
      <c r="E20" s="32">
        <f>D20*1.1</f>
        <v>1612549.4880000001</v>
      </c>
      <c r="F20" s="21"/>
      <c r="G20" s="26" t="s">
        <v>54</v>
      </c>
      <c r="H20" s="26">
        <v>148000</v>
      </c>
      <c r="I20" s="26"/>
      <c r="J20" s="26"/>
      <c r="K20" s="26"/>
    </row>
    <row r="21" spans="1:11" x14ac:dyDescent="0.3">
      <c r="E21" s="22"/>
      <c r="F21" s="21"/>
      <c r="G21" s="26"/>
      <c r="H21" s="26">
        <f>SUM(H18:H20)</f>
        <v>443272</v>
      </c>
      <c r="I21" s="26"/>
      <c r="J21" s="26"/>
      <c r="K21" s="30">
        <f>K12/H21</f>
        <v>1.1876906278763379</v>
      </c>
    </row>
    <row r="22" spans="1:11" x14ac:dyDescent="0.3">
      <c r="A22" s="4" t="s">
        <v>15</v>
      </c>
      <c r="B22" s="4"/>
      <c r="C22" s="4"/>
      <c r="D22" s="8">
        <f>D12-D20</f>
        <v>1265453.1144000003</v>
      </c>
      <c r="E22" s="34">
        <f>E12-E20</f>
        <v>845716.98696000013</v>
      </c>
      <c r="F22" s="21"/>
    </row>
    <row r="23" spans="1:11" x14ac:dyDescent="0.3">
      <c r="E23" s="33"/>
      <c r="F23" s="21"/>
    </row>
    <row r="24" spans="1:11" x14ac:dyDescent="0.3">
      <c r="A24" s="4" t="s">
        <v>42</v>
      </c>
      <c r="B24" s="4"/>
      <c r="C24" s="8">
        <v>119</v>
      </c>
      <c r="D24" s="8">
        <f>C24*D3</f>
        <v>116739</v>
      </c>
      <c r="E24" s="34">
        <f>D24</f>
        <v>116739</v>
      </c>
      <c r="F24" s="21" t="s">
        <v>50</v>
      </c>
    </row>
    <row r="25" spans="1:11" x14ac:dyDescent="0.3">
      <c r="E25" s="31"/>
    </row>
    <row r="26" spans="1:11" x14ac:dyDescent="0.3">
      <c r="A26" s="4" t="s">
        <v>16</v>
      </c>
      <c r="B26" s="4"/>
      <c r="C26" s="10">
        <f>D26/D3</f>
        <v>1408.9624000000003</v>
      </c>
      <c r="D26" s="8">
        <f>D22+D24</f>
        <v>1382192.1144000003</v>
      </c>
      <c r="E26" s="16">
        <f>E22+E24</f>
        <v>962455.98696000013</v>
      </c>
      <c r="F26" s="11"/>
    </row>
    <row r="27" spans="1:11" x14ac:dyDescent="0.3">
      <c r="A27" s="2"/>
      <c r="B27" s="2"/>
      <c r="C27" s="11"/>
      <c r="D27" s="11"/>
      <c r="E27" s="31"/>
    </row>
    <row r="28" spans="1:11" x14ac:dyDescent="0.3">
      <c r="A28" s="5" t="s">
        <v>36</v>
      </c>
      <c r="B28" s="5"/>
      <c r="C28" s="5" t="s">
        <v>9</v>
      </c>
      <c r="D28" s="13">
        <f>D26</f>
        <v>1382192.1144000003</v>
      </c>
      <c r="E28" s="17">
        <f>E26</f>
        <v>962455.98696000013</v>
      </c>
      <c r="F28" s="22"/>
    </row>
    <row r="29" spans="1:11" x14ac:dyDescent="0.3">
      <c r="A29" s="15" t="s">
        <v>51</v>
      </c>
      <c r="B29" s="2"/>
      <c r="C29" s="2" t="s">
        <v>17</v>
      </c>
      <c r="D29" s="12">
        <f>D28/D3</f>
        <v>1408.9624000000003</v>
      </c>
      <c r="E29" s="18">
        <f>E28/D3</f>
        <v>981.09682666666674</v>
      </c>
      <c r="F29" s="12"/>
    </row>
    <row r="30" spans="1:11" x14ac:dyDescent="0.3">
      <c r="A30" s="6"/>
      <c r="B30" s="6"/>
      <c r="C30" s="6" t="s">
        <v>18</v>
      </c>
      <c r="D30" s="7">
        <f>D29/2.471</f>
        <v>570.19927154997993</v>
      </c>
      <c r="E30" s="19">
        <f>E29/2.471</f>
        <v>397.0444462430865</v>
      </c>
      <c r="F30" s="11"/>
    </row>
    <row r="32" spans="1:11" x14ac:dyDescent="0.3">
      <c r="A32" t="s">
        <v>37</v>
      </c>
    </row>
    <row r="33" spans="1:1" x14ac:dyDescent="0.3">
      <c r="A33" t="s">
        <v>38</v>
      </c>
    </row>
    <row r="34" spans="1:1" x14ac:dyDescent="0.3">
      <c r="A34" t="s">
        <v>39</v>
      </c>
    </row>
  </sheetData>
  <mergeCells count="3">
    <mergeCell ref="A1:D1"/>
    <mergeCell ref="G4:H4"/>
    <mergeCell ref="J4:K4"/>
  </mergeCells>
  <pageMargins left="0.7" right="0.7" top="0.75" bottom="0.75" header="0.3" footer="0.3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5B081-A554-41FE-A964-4514AF76C62C}">
  <sheetPr>
    <pageSetUpPr fitToPage="1"/>
  </sheetPr>
  <dimension ref="A1:N40"/>
  <sheetViews>
    <sheetView tabSelected="1" zoomScale="80" zoomScaleNormal="80" workbookViewId="0">
      <selection activeCell="J24" sqref="J24"/>
    </sheetView>
  </sheetViews>
  <sheetFormatPr defaultRowHeight="14.4" x14ac:dyDescent="0.3"/>
  <cols>
    <col min="1" max="1" width="35.21875" bestFit="1" customWidth="1"/>
    <col min="2" max="2" width="7.5546875" bestFit="1" customWidth="1"/>
    <col min="3" max="3" width="12" bestFit="1" customWidth="1"/>
    <col min="4" max="4" width="13.33203125" bestFit="1" customWidth="1"/>
    <col min="5" max="5" width="13.88671875" style="2" bestFit="1" customWidth="1"/>
    <col min="6" max="6" width="13.88671875" style="2" customWidth="1"/>
    <col min="7" max="7" width="11.77734375" customWidth="1"/>
    <col min="8" max="8" width="13.44140625" customWidth="1"/>
    <col min="11" max="11" width="12.5546875" bestFit="1" customWidth="1"/>
    <col min="13" max="13" width="106.6640625" bestFit="1" customWidth="1"/>
    <col min="14" max="14" width="13" bestFit="1" customWidth="1"/>
  </cols>
  <sheetData>
    <row r="1" spans="1:13" ht="21" x14ac:dyDescent="0.4">
      <c r="A1" s="56" t="s">
        <v>44</v>
      </c>
      <c r="B1" s="56"/>
      <c r="C1" s="56"/>
      <c r="D1" s="56"/>
      <c r="E1" s="56"/>
    </row>
    <row r="2" spans="1:13" x14ac:dyDescent="0.3">
      <c r="A2" s="2" t="s">
        <v>0</v>
      </c>
      <c r="C2" s="2" t="s">
        <v>1</v>
      </c>
      <c r="D2">
        <f>D3*2.471</f>
        <v>2424.0509999999999</v>
      </c>
    </row>
    <row r="3" spans="1:13" x14ac:dyDescent="0.3">
      <c r="C3" s="2" t="s">
        <v>2</v>
      </c>
      <c r="D3" s="1">
        <v>981</v>
      </c>
    </row>
    <row r="4" spans="1:13" x14ac:dyDescent="0.3">
      <c r="G4" s="58" t="s">
        <v>28</v>
      </c>
      <c r="H4" s="58"/>
      <c r="J4" s="58" t="s">
        <v>29</v>
      </c>
      <c r="K4" s="58"/>
    </row>
    <row r="5" spans="1:13" x14ac:dyDescent="0.3">
      <c r="A5" s="4" t="s">
        <v>3</v>
      </c>
      <c r="B5" s="4" t="s">
        <v>7</v>
      </c>
      <c r="C5" s="4" t="s">
        <v>8</v>
      </c>
      <c r="D5" s="4"/>
      <c r="E5" s="4"/>
      <c r="G5" s="6" t="s">
        <v>22</v>
      </c>
      <c r="H5" s="6" t="s">
        <v>23</v>
      </c>
      <c r="J5" s="6" t="s">
        <v>24</v>
      </c>
      <c r="K5" s="6" t="s">
        <v>25</v>
      </c>
      <c r="M5" s="2" t="s">
        <v>43</v>
      </c>
    </row>
    <row r="6" spans="1:13" x14ac:dyDescent="0.3">
      <c r="A6" t="s">
        <v>4</v>
      </c>
      <c r="B6" s="1">
        <f>$D$3/8</f>
        <v>122.625</v>
      </c>
      <c r="C6" s="47">
        <v>1477</v>
      </c>
      <c r="D6" s="47">
        <f t="shared" ref="D6:D13" si="0">B6*C6</f>
        <v>181117.125</v>
      </c>
      <c r="G6">
        <v>8.25</v>
      </c>
      <c r="H6" s="1">
        <f>B6*G6</f>
        <v>1011.65625</v>
      </c>
      <c r="K6" s="48">
        <f>B6*J6*250</f>
        <v>0</v>
      </c>
      <c r="M6" t="s">
        <v>45</v>
      </c>
    </row>
    <row r="7" spans="1:13" x14ac:dyDescent="0.3">
      <c r="A7" t="s">
        <v>5</v>
      </c>
      <c r="B7" s="1">
        <f>$D$3/8*0.9</f>
        <v>110.3625</v>
      </c>
      <c r="C7" s="47">
        <v>8079</v>
      </c>
      <c r="D7" s="47">
        <f t="shared" si="0"/>
        <v>891618.63749999995</v>
      </c>
      <c r="G7">
        <v>62</v>
      </c>
      <c r="H7" s="1">
        <f>B7*G7</f>
        <v>6842.4749999999995</v>
      </c>
      <c r="J7">
        <v>8</v>
      </c>
      <c r="K7" s="48">
        <f>B7*J7*250</f>
        <v>220725</v>
      </c>
      <c r="M7" t="s">
        <v>57</v>
      </c>
    </row>
    <row r="8" spans="1:13" x14ac:dyDescent="0.3">
      <c r="A8" t="s">
        <v>4</v>
      </c>
      <c r="B8" s="1">
        <f>$D$3/8</f>
        <v>122.625</v>
      </c>
      <c r="C8" s="47">
        <f>C6</f>
        <v>1477</v>
      </c>
      <c r="D8" s="47">
        <f t="shared" si="0"/>
        <v>181117.125</v>
      </c>
      <c r="G8">
        <v>8.25</v>
      </c>
      <c r="H8" s="1">
        <f>B8*G8</f>
        <v>1011.65625</v>
      </c>
      <c r="K8" s="48">
        <f>B8*J8*250</f>
        <v>0</v>
      </c>
    </row>
    <row r="9" spans="1:13" x14ac:dyDescent="0.3">
      <c r="A9" t="s">
        <v>35</v>
      </c>
      <c r="B9" s="1">
        <f>$D$3/8</f>
        <v>122.625</v>
      </c>
      <c r="C9" s="49">
        <f>(80*40)-1228-108-462</f>
        <v>1402</v>
      </c>
      <c r="D9" s="49">
        <f t="shared" si="0"/>
        <v>171920.25</v>
      </c>
      <c r="G9">
        <v>85</v>
      </c>
      <c r="H9" s="1">
        <f>B9*G9</f>
        <v>10423.125</v>
      </c>
      <c r="K9" s="48">
        <f>B9*J9*250</f>
        <v>0</v>
      </c>
    </row>
    <row r="10" spans="1:13" x14ac:dyDescent="0.3">
      <c r="A10" t="s">
        <v>4</v>
      </c>
      <c r="B10" s="1">
        <f>$D$3/8</f>
        <v>122.625</v>
      </c>
      <c r="C10" s="49">
        <v>1477</v>
      </c>
      <c r="D10" s="49">
        <f t="shared" si="0"/>
        <v>181117.125</v>
      </c>
      <c r="G10">
        <f>G6</f>
        <v>8.25</v>
      </c>
      <c r="H10" s="1">
        <f>G10*B10</f>
        <v>1011.65625</v>
      </c>
      <c r="K10" s="48"/>
    </row>
    <row r="11" spans="1:13" x14ac:dyDescent="0.3">
      <c r="A11" t="s">
        <v>56</v>
      </c>
      <c r="B11" s="1">
        <f>D3/8</f>
        <v>122.625</v>
      </c>
      <c r="C11" s="49">
        <f>420</f>
        <v>420</v>
      </c>
      <c r="D11" s="49">
        <f t="shared" si="0"/>
        <v>51502.5</v>
      </c>
      <c r="G11">
        <v>40</v>
      </c>
      <c r="H11" s="1">
        <f>G11*B11</f>
        <v>4905</v>
      </c>
      <c r="K11" s="48"/>
      <c r="M11" t="s">
        <v>58</v>
      </c>
    </row>
    <row r="12" spans="1:13" x14ac:dyDescent="0.3">
      <c r="A12" t="s">
        <v>4</v>
      </c>
      <c r="B12" s="1">
        <f>$D$3/8</f>
        <v>122.625</v>
      </c>
      <c r="C12" s="49">
        <f>C6</f>
        <v>1477</v>
      </c>
      <c r="D12" s="49">
        <f t="shared" si="0"/>
        <v>181117.125</v>
      </c>
      <c r="G12">
        <v>8.25</v>
      </c>
      <c r="H12" s="1">
        <f>B12*G12</f>
        <v>1011.65625</v>
      </c>
      <c r="K12" s="48">
        <f>B12*J12*250</f>
        <v>0</v>
      </c>
    </row>
    <row r="13" spans="1:13" x14ac:dyDescent="0.3">
      <c r="A13" t="s">
        <v>6</v>
      </c>
      <c r="B13" s="1">
        <f>D3/8*0.9</f>
        <v>110.3625</v>
      </c>
      <c r="C13" s="49">
        <v>4767</v>
      </c>
      <c r="D13" s="49">
        <f t="shared" si="0"/>
        <v>526098.03749999998</v>
      </c>
      <c r="E13" s="31" t="s">
        <v>40</v>
      </c>
      <c r="F13" s="31"/>
      <c r="G13">
        <v>52</v>
      </c>
      <c r="H13" s="1">
        <f>B13*G13</f>
        <v>5738.8499999999995</v>
      </c>
      <c r="J13">
        <v>6</v>
      </c>
      <c r="K13" s="48">
        <f>B13*J13*250</f>
        <v>165543.75</v>
      </c>
      <c r="M13" t="s">
        <v>59</v>
      </c>
    </row>
    <row r="14" spans="1:13" x14ac:dyDescent="0.3">
      <c r="A14" s="3"/>
      <c r="B14" s="3"/>
      <c r="C14" s="4" t="s">
        <v>9</v>
      </c>
      <c r="D14" s="8">
        <f>SUM(D6:D13)</f>
        <v>2365607.9249999998</v>
      </c>
      <c r="E14" s="32">
        <f>D14*0.9</f>
        <v>2129047.1324999998</v>
      </c>
      <c r="F14" s="33"/>
      <c r="G14" s="3"/>
      <c r="H14" s="53">
        <f>SUM(H6:H13)</f>
        <v>31956.074999999997</v>
      </c>
      <c r="I14" s="3" t="s">
        <v>34</v>
      </c>
      <c r="J14" s="3"/>
      <c r="K14" s="54">
        <f>SUM(K6:K13)</f>
        <v>386268.75</v>
      </c>
      <c r="L14" s="3" t="s">
        <v>25</v>
      </c>
      <c r="M14" s="21"/>
    </row>
    <row r="15" spans="1:13" x14ac:dyDescent="0.3">
      <c r="E15" s="22"/>
      <c r="F15" s="22"/>
      <c r="H15" s="1"/>
      <c r="J15" s="3"/>
      <c r="K15" s="54">
        <f>K14*222</f>
        <v>85751662.5</v>
      </c>
      <c r="L15" s="3" t="s">
        <v>26</v>
      </c>
      <c r="M15" s="21"/>
    </row>
    <row r="16" spans="1:13" x14ac:dyDescent="0.3">
      <c r="A16" s="4" t="s">
        <v>19</v>
      </c>
      <c r="B16" s="4" t="s">
        <v>11</v>
      </c>
      <c r="C16" s="4" t="s">
        <v>21</v>
      </c>
      <c r="D16" s="4"/>
      <c r="E16" s="10"/>
      <c r="F16" s="22"/>
      <c r="K16" s="1"/>
      <c r="M16" s="21"/>
    </row>
    <row r="17" spans="1:14" x14ac:dyDescent="0.3">
      <c r="A17" t="s">
        <v>10</v>
      </c>
      <c r="B17" s="47">
        <v>105</v>
      </c>
      <c r="C17" s="47">
        <v>1250</v>
      </c>
      <c r="D17" s="50">
        <f>(($B$6+$B$8+$B$9+$B$10+$B$12)*B17)+(($B$7+$B$13)*C17)</f>
        <v>340284.375</v>
      </c>
      <c r="E17" s="22"/>
      <c r="F17" s="22"/>
      <c r="K17" s="1"/>
      <c r="M17" s="21"/>
    </row>
    <row r="18" spans="1:14" x14ac:dyDescent="0.3">
      <c r="A18" t="s">
        <v>20</v>
      </c>
      <c r="B18" s="47">
        <v>321</v>
      </c>
      <c r="C18" s="47">
        <v>1720</v>
      </c>
      <c r="D18" s="50">
        <f t="shared" ref="D18:D21" si="1">(($B$6+$B$8+$B$9+$B$10+$B$12)*B18)+(($B$7+$B$13)*C18)</f>
        <v>576460.125</v>
      </c>
      <c r="E18" s="22"/>
      <c r="F18" s="22"/>
      <c r="M18" s="21" t="s">
        <v>61</v>
      </c>
      <c r="N18" s="55">
        <f>D18*0.33</f>
        <v>190231.84125</v>
      </c>
    </row>
    <row r="19" spans="1:14" x14ac:dyDescent="0.3">
      <c r="A19" t="s">
        <v>12</v>
      </c>
      <c r="B19" s="47">
        <v>52</v>
      </c>
      <c r="C19" s="47">
        <v>188</v>
      </c>
      <c r="D19" s="50">
        <f t="shared" si="1"/>
        <v>73378.799999999988</v>
      </c>
      <c r="E19" s="22"/>
      <c r="F19" s="22"/>
      <c r="G19" s="59"/>
      <c r="H19" s="59"/>
      <c r="M19" s="21"/>
    </row>
    <row r="20" spans="1:14" x14ac:dyDescent="0.3">
      <c r="A20" t="s">
        <v>13</v>
      </c>
      <c r="B20" s="47">
        <v>36</v>
      </c>
      <c r="C20" s="47">
        <v>534</v>
      </c>
      <c r="D20" s="50">
        <f t="shared" si="1"/>
        <v>139939.65</v>
      </c>
      <c r="E20" s="22"/>
      <c r="F20" s="22"/>
      <c r="M20" s="21"/>
    </row>
    <row r="21" spans="1:14" x14ac:dyDescent="0.3">
      <c r="A21" t="s">
        <v>14</v>
      </c>
      <c r="B21" s="47">
        <v>20</v>
      </c>
      <c r="C21" s="47">
        <v>20</v>
      </c>
      <c r="D21" s="50">
        <f t="shared" si="1"/>
        <v>16677</v>
      </c>
      <c r="E21" s="33" t="s">
        <v>41</v>
      </c>
      <c r="F21" s="33"/>
      <c r="M21" s="21"/>
    </row>
    <row r="22" spans="1:14" x14ac:dyDescent="0.3">
      <c r="A22" s="4" t="s">
        <v>9</v>
      </c>
      <c r="B22" s="8">
        <f>SUM(B17:B21)</f>
        <v>534</v>
      </c>
      <c r="C22" s="8">
        <f t="shared" ref="C22:D22" si="2">SUM(C17:C21)</f>
        <v>3712</v>
      </c>
      <c r="D22" s="8">
        <f t="shared" si="2"/>
        <v>1146739.95</v>
      </c>
      <c r="E22" s="32">
        <f>D22*1.1</f>
        <v>1261413.9450000001</v>
      </c>
      <c r="F22" s="33"/>
      <c r="M22" s="21"/>
    </row>
    <row r="23" spans="1:14" x14ac:dyDescent="0.3">
      <c r="E23" s="22"/>
      <c r="F23" s="22"/>
      <c r="G23" s="3"/>
      <c r="H23" s="3"/>
      <c r="K23" s="51"/>
      <c r="M23" s="21"/>
    </row>
    <row r="24" spans="1:14" x14ac:dyDescent="0.3">
      <c r="A24" s="4" t="s">
        <v>15</v>
      </c>
      <c r="B24" s="4"/>
      <c r="C24" s="4"/>
      <c r="D24" s="8">
        <f>D14-D22</f>
        <v>1218867.9749999999</v>
      </c>
      <c r="E24" s="32">
        <f>E14-E22</f>
        <v>867633.18749999977</v>
      </c>
      <c r="F24" s="33"/>
      <c r="M24" s="21"/>
    </row>
    <row r="25" spans="1:14" x14ac:dyDescent="0.3">
      <c r="E25" s="33"/>
      <c r="F25" s="33"/>
      <c r="M25" s="21"/>
    </row>
    <row r="26" spans="1:14" x14ac:dyDescent="0.3">
      <c r="A26" s="4" t="s">
        <v>42</v>
      </c>
      <c r="B26" s="4"/>
      <c r="C26" s="8">
        <v>119</v>
      </c>
      <c r="D26" s="8">
        <f>C26*D3</f>
        <v>116739</v>
      </c>
      <c r="E26" s="32">
        <f>D26</f>
        <v>116739</v>
      </c>
      <c r="F26" s="33"/>
      <c r="M26" s="21" t="s">
        <v>50</v>
      </c>
    </row>
    <row r="27" spans="1:14" x14ac:dyDescent="0.3">
      <c r="E27" s="31"/>
      <c r="F27" s="31"/>
    </row>
    <row r="28" spans="1:14" x14ac:dyDescent="0.3">
      <c r="A28" s="4" t="s">
        <v>16</v>
      </c>
      <c r="B28" s="4"/>
      <c r="C28" s="10">
        <f>D28/D3</f>
        <v>1361.4749999999999</v>
      </c>
      <c r="D28" s="8">
        <f>D24+D26</f>
        <v>1335606.9749999999</v>
      </c>
      <c r="E28" s="16">
        <f>E24+E26</f>
        <v>984372.18749999977</v>
      </c>
      <c r="F28" s="45"/>
      <c r="M28" s="11"/>
    </row>
    <row r="29" spans="1:14" x14ac:dyDescent="0.3">
      <c r="A29" s="2"/>
      <c r="B29" s="2"/>
      <c r="C29" s="11"/>
      <c r="D29" s="11"/>
      <c r="E29" s="31"/>
      <c r="F29" s="31"/>
    </row>
    <row r="30" spans="1:14" x14ac:dyDescent="0.3">
      <c r="A30" s="5" t="s">
        <v>36</v>
      </c>
      <c r="B30" s="5"/>
      <c r="C30" s="5" t="s">
        <v>9</v>
      </c>
      <c r="D30" s="13">
        <f>D28</f>
        <v>1335606.9749999999</v>
      </c>
      <c r="E30" s="17">
        <f>E28</f>
        <v>984372.18749999977</v>
      </c>
      <c r="F30" s="33"/>
      <c r="M30" s="22"/>
    </row>
    <row r="31" spans="1:14" x14ac:dyDescent="0.3">
      <c r="A31" s="15" t="s">
        <v>51</v>
      </c>
      <c r="B31" s="2"/>
      <c r="C31" s="2" t="s">
        <v>17</v>
      </c>
      <c r="D31" s="12">
        <f>D30/D3</f>
        <v>1361.4749999999999</v>
      </c>
      <c r="E31" s="18">
        <f>E30/D3</f>
        <v>1003.4374999999998</v>
      </c>
      <c r="F31" s="18"/>
      <c r="M31" s="12"/>
    </row>
    <row r="32" spans="1:14" x14ac:dyDescent="0.3">
      <c r="A32" s="6"/>
      <c r="B32" s="6"/>
      <c r="C32" s="6" t="s">
        <v>18</v>
      </c>
      <c r="D32" s="7">
        <f>D31/2.471</f>
        <v>550.98138405503835</v>
      </c>
      <c r="E32" s="19">
        <f>E31/2.471</f>
        <v>406.08559287737745</v>
      </c>
      <c r="F32" s="45"/>
      <c r="M32" s="11"/>
    </row>
    <row r="34" spans="1:6" x14ac:dyDescent="0.3">
      <c r="A34" s="5" t="s">
        <v>36</v>
      </c>
      <c r="B34" s="39"/>
      <c r="C34" s="5" t="s">
        <v>9</v>
      </c>
      <c r="D34" s="40">
        <f>D30-(D2*200)</f>
        <v>850796.77499999991</v>
      </c>
      <c r="E34" s="41">
        <f>E30-(D2*200)</f>
        <v>499561.98749999976</v>
      </c>
      <c r="F34" s="46"/>
    </row>
    <row r="35" spans="1:6" x14ac:dyDescent="0.3">
      <c r="A35" s="15" t="s">
        <v>60</v>
      </c>
      <c r="C35" s="2" t="s">
        <v>17</v>
      </c>
      <c r="D35" s="52">
        <f>D34/D3</f>
        <v>867.27499999999986</v>
      </c>
      <c r="E35" s="46">
        <f>E34/D3</f>
        <v>509.23749999999973</v>
      </c>
      <c r="F35" s="46"/>
    </row>
    <row r="36" spans="1:6" x14ac:dyDescent="0.3">
      <c r="A36" s="42"/>
      <c r="B36" s="42"/>
      <c r="C36" s="6" t="s">
        <v>18</v>
      </c>
      <c r="D36" s="43">
        <f>D35/2.471</f>
        <v>350.9813840550384</v>
      </c>
      <c r="E36" s="44">
        <f>E35/2.471</f>
        <v>206.08559287737745</v>
      </c>
      <c r="F36" s="46"/>
    </row>
    <row r="38" spans="1:6" x14ac:dyDescent="0.3">
      <c r="A38" t="s">
        <v>37</v>
      </c>
    </row>
    <row r="39" spans="1:6" x14ac:dyDescent="0.3">
      <c r="A39" t="s">
        <v>38</v>
      </c>
    </row>
    <row r="40" spans="1:6" x14ac:dyDescent="0.3">
      <c r="A40" t="s">
        <v>39</v>
      </c>
    </row>
  </sheetData>
  <mergeCells count="4">
    <mergeCell ref="G4:H4"/>
    <mergeCell ref="J4:K4"/>
    <mergeCell ref="A1:E1"/>
    <mergeCell ref="G19:H19"/>
  </mergeCells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 year rotation</vt:lpstr>
      <vt:lpstr>8 year rotation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Nick Wright</cp:lastModifiedBy>
  <cp:lastPrinted>2022-08-22T12:37:46Z</cp:lastPrinted>
  <dcterms:created xsi:type="dcterms:W3CDTF">2021-08-31T13:12:37Z</dcterms:created>
  <dcterms:modified xsi:type="dcterms:W3CDTF">2022-12-14T11:30:21Z</dcterms:modified>
</cp:coreProperties>
</file>